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lit\Downloads\"/>
    </mc:Choice>
  </mc:AlternateContent>
  <bookViews>
    <workbookView xWindow="0" yWindow="45" windowWidth="19050" windowHeight="11640" activeTab="1"/>
  </bookViews>
  <sheets>
    <sheet name="нормы" sheetId="1" r:id="rId1"/>
    <sheet name="Калькуляция" sheetId="2" r:id="rId2"/>
  </sheets>
  <definedNames>
    <definedName name="_xlnm._FilterDatabase" localSheetId="1" hidden="1">Калькуляция!$F$9:$F$56</definedName>
    <definedName name="_xlnm._FilterDatabase" localSheetId="0" hidden="1">нормы!$A$2:$L$32</definedName>
    <definedName name="Excel_BuiltIn__FilterDatabase_3_1">нормы!#REF!</definedName>
    <definedName name="Excel_BuiltIn__FilterDatabase_4_1">NA()</definedName>
  </definedNames>
  <calcPr calcId="162913"/>
</workbook>
</file>

<file path=xl/calcChain.xml><?xml version="1.0" encoding="utf-8"?>
<calcChain xmlns="http://schemas.openxmlformats.org/spreadsheetml/2006/main">
  <c r="F49" i="2" l="1"/>
  <c r="D33" i="2"/>
  <c r="B34" i="2"/>
  <c r="C34" i="2"/>
  <c r="D34" i="2"/>
  <c r="F34" i="2" s="1"/>
  <c r="E34" i="2"/>
  <c r="B35" i="2"/>
  <c r="C35" i="2"/>
  <c r="D35" i="2"/>
  <c r="F35" i="2" s="1"/>
  <c r="E35" i="2"/>
  <c r="B36" i="2"/>
  <c r="C36" i="2"/>
  <c r="D36" i="2"/>
  <c r="F36" i="2" s="1"/>
  <c r="E36" i="2"/>
  <c r="B37" i="2"/>
  <c r="C37" i="2"/>
  <c r="D37" i="2"/>
  <c r="F37" i="2" s="1"/>
  <c r="E37" i="2"/>
  <c r="E33" i="2"/>
  <c r="C33" i="2"/>
  <c r="B33" i="2"/>
  <c r="B17" i="2"/>
  <c r="C17" i="2"/>
  <c r="D17" i="2"/>
  <c r="E17" i="2"/>
  <c r="B18" i="2"/>
  <c r="C18" i="2"/>
  <c r="D18" i="2"/>
  <c r="E18" i="2"/>
  <c r="B19" i="2"/>
  <c r="C19" i="2"/>
  <c r="D19" i="2"/>
  <c r="F19" i="2" s="1"/>
  <c r="E19" i="2"/>
  <c r="B20" i="2"/>
  <c r="C20" i="2"/>
  <c r="D20" i="2"/>
  <c r="E20" i="2"/>
  <c r="B21" i="2"/>
  <c r="C21" i="2"/>
  <c r="D21" i="2"/>
  <c r="F21" i="2" s="1"/>
  <c r="E21" i="2"/>
  <c r="B22" i="2"/>
  <c r="C22" i="2"/>
  <c r="D22" i="2"/>
  <c r="E22" i="2"/>
  <c r="B23" i="2"/>
  <c r="C23" i="2"/>
  <c r="D23" i="2"/>
  <c r="F23" i="2" s="1"/>
  <c r="E23" i="2"/>
  <c r="B24" i="2"/>
  <c r="C24" i="2"/>
  <c r="D24" i="2"/>
  <c r="E24" i="2"/>
  <c r="B25" i="2"/>
  <c r="C25" i="2"/>
  <c r="D25" i="2"/>
  <c r="F25" i="2" s="1"/>
  <c r="E25" i="2"/>
  <c r="B26" i="2"/>
  <c r="C26" i="2"/>
  <c r="D26" i="2"/>
  <c r="E26" i="2"/>
  <c r="B27" i="2"/>
  <c r="C27" i="2"/>
  <c r="D27" i="2"/>
  <c r="F27" i="2" s="1"/>
  <c r="E27" i="2"/>
  <c r="B28" i="2"/>
  <c r="C28" i="2"/>
  <c r="D28" i="2"/>
  <c r="E28" i="2"/>
  <c r="B29" i="2"/>
  <c r="C29" i="2"/>
  <c r="D29" i="2"/>
  <c r="F29" i="2" s="1"/>
  <c r="E29" i="2"/>
  <c r="B30" i="2"/>
  <c r="C30" i="2"/>
  <c r="D30" i="2"/>
  <c r="E30" i="2"/>
  <c r="B31" i="2"/>
  <c r="C31" i="2"/>
  <c r="D31" i="2"/>
  <c r="F31" i="2" s="1"/>
  <c r="E31" i="2"/>
  <c r="E16" i="2"/>
  <c r="C16" i="2"/>
  <c r="B16" i="2"/>
  <c r="D16" i="2"/>
  <c r="F16" i="2" s="1"/>
  <c r="B12" i="2"/>
  <c r="C12" i="2"/>
  <c r="D12" i="2"/>
  <c r="F12" i="2" s="1"/>
  <c r="E12" i="2"/>
  <c r="B13" i="2"/>
  <c r="C13" i="2"/>
  <c r="D13" i="2"/>
  <c r="E13" i="2"/>
  <c r="B14" i="2"/>
  <c r="C14" i="2"/>
  <c r="D14" i="2"/>
  <c r="F14" i="2" s="1"/>
  <c r="E14" i="2"/>
  <c r="D11" i="2"/>
  <c r="E11" i="2"/>
  <c r="C11" i="2"/>
  <c r="B11" i="2"/>
  <c r="A5" i="2"/>
  <c r="L35" i="1"/>
  <c r="K35" i="1"/>
  <c r="J35" i="1"/>
  <c r="I35" i="1"/>
  <c r="H35" i="1"/>
  <c r="G35" i="1"/>
  <c r="F48" i="2" s="1"/>
  <c r="F35" i="1"/>
  <c r="E35" i="1"/>
  <c r="D35" i="1"/>
  <c r="L34" i="1"/>
  <c r="K34" i="1"/>
  <c r="J34" i="1"/>
  <c r="I34" i="1"/>
  <c r="H34" i="1"/>
  <c r="G34" i="1"/>
  <c r="F47" i="2" s="1"/>
  <c r="F34" i="1"/>
  <c r="E34" i="1"/>
  <c r="D34" i="1"/>
  <c r="F33" i="2"/>
  <c r="E46" i="2"/>
  <c r="D46" i="2"/>
  <c r="F3" i="2"/>
  <c r="D3" i="1"/>
  <c r="E3" i="1"/>
  <c r="F3" i="1"/>
  <c r="G3" i="1"/>
  <c r="H3" i="1"/>
  <c r="I3" i="1"/>
  <c r="J3" i="1"/>
  <c r="K3" i="1"/>
  <c r="L3" i="1"/>
  <c r="D8" i="1"/>
  <c r="E8" i="1"/>
  <c r="F8" i="1"/>
  <c r="G8" i="1"/>
  <c r="H8" i="1"/>
  <c r="I8" i="1"/>
  <c r="J8" i="1"/>
  <c r="K8" i="1"/>
  <c r="L8" i="1"/>
  <c r="D25" i="1"/>
  <c r="E25" i="1"/>
  <c r="F25" i="1"/>
  <c r="G25" i="1"/>
  <c r="G31" i="1" s="1"/>
  <c r="G32" i="1" s="1"/>
  <c r="H25" i="1"/>
  <c r="I25" i="1"/>
  <c r="I31" i="1" s="1"/>
  <c r="I32" i="1" s="1"/>
  <c r="J25" i="1"/>
  <c r="K25" i="1"/>
  <c r="K31" i="1" s="1"/>
  <c r="K32" i="1" s="1"/>
  <c r="L25" i="1"/>
  <c r="D31" i="1"/>
  <c r="E31" i="1"/>
  <c r="F31" i="1"/>
  <c r="F32" i="1" s="1"/>
  <c r="H31" i="1"/>
  <c r="J31" i="1"/>
  <c r="J32" i="1" s="1"/>
  <c r="L31" i="1"/>
  <c r="D32" i="1"/>
  <c r="E32" i="1"/>
  <c r="H32" i="1"/>
  <c r="L32" i="1"/>
  <c r="F17" i="2" l="1"/>
  <c r="F32" i="2"/>
  <c r="F38" i="2" s="1"/>
  <c r="F11" i="2"/>
  <c r="F30" i="2"/>
  <c r="F28" i="2"/>
  <c r="F26" i="2"/>
  <c r="F24" i="2"/>
  <c r="F22" i="2"/>
  <c r="F20" i="2"/>
  <c r="F18" i="2"/>
  <c r="F13" i="2"/>
  <c r="F10" i="2" s="1"/>
  <c r="F15" i="2" l="1"/>
  <c r="F40" i="2" s="1"/>
  <c r="F42" i="2" s="1"/>
  <c r="F44" i="2" s="1"/>
  <c r="D49" i="2" l="1"/>
  <c r="E49" i="2"/>
  <c r="D48" i="2"/>
  <c r="D47" i="2"/>
  <c r="E48" i="2"/>
  <c r="E47" i="2"/>
</calcChain>
</file>

<file path=xl/sharedStrings.xml><?xml version="1.0" encoding="utf-8"?>
<sst xmlns="http://schemas.openxmlformats.org/spreadsheetml/2006/main" count="137" uniqueCount="111">
  <si>
    <t>НАИМЕНОВАНИЕ</t>
  </si>
  <si>
    <t>Ед изм</t>
  </si>
  <si>
    <t>ЦЕНА</t>
  </si>
  <si>
    <t>Товар А</t>
  </si>
  <si>
    <t>Товар B</t>
  </si>
  <si>
    <t>Товар АA</t>
  </si>
  <si>
    <t>Товар BB</t>
  </si>
  <si>
    <t>Товар BB1</t>
  </si>
  <si>
    <t>Товар C</t>
  </si>
  <si>
    <t>Товар AA1</t>
  </si>
  <si>
    <t>Товар А1</t>
  </si>
  <si>
    <t>Товар CC</t>
  </si>
  <si>
    <t>Сталь</t>
  </si>
  <si>
    <t xml:space="preserve"> Ст лист х/к 0,8х1250х2500 08пс</t>
  </si>
  <si>
    <t>кг</t>
  </si>
  <si>
    <t xml:space="preserve"> Ст лист х/к 1,2х1250х2500 08пс</t>
  </si>
  <si>
    <t xml:space="preserve"> Ст лист х/к 1,5х1250х2500 08пс</t>
  </si>
  <si>
    <t xml:space="preserve"> Ст лист х/к 2.0х1250х2500 08пс</t>
  </si>
  <si>
    <t>Материалы</t>
  </si>
  <si>
    <t xml:space="preserve"> Саморезы</t>
  </si>
  <si>
    <t>шт</t>
  </si>
  <si>
    <t xml:space="preserve"> Ручка</t>
  </si>
  <si>
    <t>Краска</t>
  </si>
  <si>
    <t>Упаковка А</t>
  </si>
  <si>
    <t>Упаковка B</t>
  </si>
  <si>
    <t>Упаковка C</t>
  </si>
  <si>
    <t>Паспорт А</t>
  </si>
  <si>
    <t>Паспорт B</t>
  </si>
  <si>
    <t>Паспорт C</t>
  </si>
  <si>
    <t xml:space="preserve"> Пряжка упаковочная</t>
  </si>
  <si>
    <t xml:space="preserve"> Скотч</t>
  </si>
  <si>
    <t>м</t>
  </si>
  <si>
    <t xml:space="preserve"> Шильд</t>
  </si>
  <si>
    <t>Ярлык А</t>
  </si>
  <si>
    <t>Ярлык B</t>
  </si>
  <si>
    <t>Ярлык C</t>
  </si>
  <si>
    <t>Транспортный ярлык №1</t>
  </si>
  <si>
    <t>ТРУД</t>
  </si>
  <si>
    <t>Слесарная</t>
  </si>
  <si>
    <t>н/ч на ед</t>
  </si>
  <si>
    <t>Слесарная-сборка</t>
  </si>
  <si>
    <t>Покраска</t>
  </si>
  <si>
    <t>Упаковка</t>
  </si>
  <si>
    <t>Перемещение</t>
  </si>
  <si>
    <t>Начисления на ФОТ</t>
  </si>
  <si>
    <t>Итого материальные затраты</t>
  </si>
  <si>
    <t>Расчет цены</t>
  </si>
  <si>
    <t>Утверждаю:</t>
  </si>
  <si>
    <t>_______________________Иванов И.И</t>
  </si>
  <si>
    <t>Ед. изм.</t>
  </si>
  <si>
    <t>1 шт</t>
  </si>
  <si>
    <t>Единица стоимости</t>
  </si>
  <si>
    <t>руб.</t>
  </si>
  <si>
    <t>№ п/п</t>
  </si>
  <si>
    <t>Наименование</t>
  </si>
  <si>
    <t>Ед. изм</t>
  </si>
  <si>
    <t>Норма расхода</t>
  </si>
  <si>
    <t>Цена</t>
  </si>
  <si>
    <t>Сумма</t>
  </si>
  <si>
    <t>Металл, основные материалы</t>
  </si>
  <si>
    <t>1\1</t>
  </si>
  <si>
    <t>1\2</t>
  </si>
  <si>
    <t>1\3</t>
  </si>
  <si>
    <t>1\4</t>
  </si>
  <si>
    <t>Покупные товары/услуги, комплектующие</t>
  </si>
  <si>
    <t>2\1</t>
  </si>
  <si>
    <t>2\2</t>
  </si>
  <si>
    <t>2\3</t>
  </si>
  <si>
    <t>2\4</t>
  </si>
  <si>
    <t>2\5</t>
  </si>
  <si>
    <t>2\6</t>
  </si>
  <si>
    <t>2\7</t>
  </si>
  <si>
    <t>2\8</t>
  </si>
  <si>
    <t>2\9</t>
  </si>
  <si>
    <t>2\10</t>
  </si>
  <si>
    <t>2\11</t>
  </si>
  <si>
    <t>2\12</t>
  </si>
  <si>
    <t>2\13</t>
  </si>
  <si>
    <t>2\14</t>
  </si>
  <si>
    <t>2\15</t>
  </si>
  <si>
    <t>2\16</t>
  </si>
  <si>
    <t>Трудовые затраты</t>
  </si>
  <si>
    <t>3\1</t>
  </si>
  <si>
    <t>3\2</t>
  </si>
  <si>
    <t>3\3</t>
  </si>
  <si>
    <t>3\4</t>
  </si>
  <si>
    <t>3\5</t>
  </si>
  <si>
    <t>Отчисления в бюджет с ФОТ</t>
  </si>
  <si>
    <t>ИТОГО материальные затраты</t>
  </si>
  <si>
    <t>Постоянные расходы</t>
  </si>
  <si>
    <t>ИТОГО расходов</t>
  </si>
  <si>
    <t>К утверждению:</t>
  </si>
  <si>
    <t>Согласовано:</t>
  </si>
  <si>
    <t>Коммерческая служба</t>
  </si>
  <si>
    <t>Главный технолог</t>
  </si>
  <si>
    <t>Финансовый Директор</t>
  </si>
  <si>
    <t>Код</t>
  </si>
  <si>
    <t>а</t>
  </si>
  <si>
    <t>аа</t>
  </si>
  <si>
    <t>аа1</t>
  </si>
  <si>
    <t>а1</t>
  </si>
  <si>
    <t>в</t>
  </si>
  <si>
    <t>вв</t>
  </si>
  <si>
    <t>вв1</t>
  </si>
  <si>
    <t>с</t>
  </si>
  <si>
    <t>сс</t>
  </si>
  <si>
    <t>Розница</t>
  </si>
  <si>
    <t>Опт</t>
  </si>
  <si>
    <t>Базовая</t>
  </si>
  <si>
    <t>Цена розничная</t>
  </si>
  <si>
    <t>Оптовая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</si>
</sst>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#,##0.00&quot;    &quot;;\-#,##0.00&quot;    &quot;;&quot; -&quot;#&quot;    &quot;;@\ "/>
    <numFmt numFmtId="165" formatCode="\ #,##0.00\ ;&quot; (&quot;#,##0.00\);&quot; -&quot;#\ ;@\ "/>
    <numFmt numFmtId="166" formatCode="_-* #,##0.00_р_._-;\-* #,##0.00_р_._-;_-* \-??_р_._-;_-@_-"/>
  </numFmts>
  <fonts count="1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6" fontId="1" fillId="0" borderId="0" applyFill="0" applyBorder="0" applyAlignment="0" applyProtection="0"/>
    <xf numFmtId="166" fontId="5" fillId="0" borderId="0" applyFill="0" applyBorder="0" applyAlignment="0" applyProtection="0"/>
    <xf numFmtId="164" fontId="2" fillId="0" borderId="0" applyFill="0" applyBorder="0" applyAlignment="0" applyProtection="0"/>
    <xf numFmtId="166" fontId="5" fillId="0" borderId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2" applyFont="1"/>
    <xf numFmtId="164" fontId="1" fillId="0" borderId="0" xfId="6" applyNumberFormat="1" applyFont="1" applyFill="1" applyBorder="1" applyAlignment="1" applyProtection="1"/>
    <xf numFmtId="0" fontId="1" fillId="0" borderId="1" xfId="2" applyFont="1" applyBorder="1" applyAlignment="1">
      <alignment horizontal="center" vertical="center" wrapText="1"/>
    </xf>
    <xf numFmtId="164" fontId="1" fillId="0" borderId="1" xfId="6" applyNumberFormat="1" applyFont="1" applyFill="1" applyBorder="1" applyAlignment="1" applyProtection="1">
      <alignment horizontal="center" vertical="center" wrapText="1"/>
    </xf>
    <xf numFmtId="0" fontId="1" fillId="2" borderId="1" xfId="2" applyFont="1" applyFill="1" applyBorder="1"/>
    <xf numFmtId="164" fontId="1" fillId="2" borderId="1" xfId="6" applyNumberFormat="1" applyFont="1" applyFill="1" applyBorder="1" applyAlignment="1" applyProtection="1"/>
    <xf numFmtId="165" fontId="1" fillId="2" borderId="1" xfId="6" applyNumberFormat="1" applyFont="1" applyFill="1" applyBorder="1" applyAlignment="1" applyProtection="1"/>
    <xf numFmtId="0" fontId="1" fillId="0" borderId="1" xfId="2" applyFont="1" applyFill="1" applyBorder="1"/>
    <xf numFmtId="0" fontId="1" fillId="0" borderId="1" xfId="2" applyFont="1" applyBorder="1" applyAlignment="1">
      <alignment horizontal="center"/>
    </xf>
    <xf numFmtId="164" fontId="1" fillId="0" borderId="1" xfId="6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2" applyFont="1" applyBorder="1"/>
    <xf numFmtId="0" fontId="4" fillId="3" borderId="1" xfId="2" applyFont="1" applyFill="1" applyBorder="1"/>
    <xf numFmtId="164" fontId="4" fillId="3" borderId="1" xfId="6" applyNumberFormat="1" applyFont="1" applyFill="1" applyBorder="1" applyAlignment="1" applyProtection="1"/>
    <xf numFmtId="165" fontId="4" fillId="3" borderId="1" xfId="6" applyNumberFormat="1" applyFont="1" applyFill="1" applyBorder="1" applyAlignment="1" applyProtection="1"/>
    <xf numFmtId="0" fontId="1" fillId="0" borderId="0" xfId="2" applyFont="1" applyBorder="1"/>
    <xf numFmtId="0" fontId="1" fillId="0" borderId="0" xfId="1"/>
    <xf numFmtId="0" fontId="1" fillId="0" borderId="0" xfId="1" applyFont="1" applyFill="1"/>
    <xf numFmtId="0" fontId="8" fillId="0" borderId="0" xfId="1" applyFont="1" applyFill="1"/>
    <xf numFmtId="14" fontId="1" fillId="0" borderId="0" xfId="1" applyNumberFormat="1" applyFont="1" applyFill="1"/>
    <xf numFmtId="0" fontId="9" fillId="0" borderId="0" xfId="1" applyFont="1" applyFill="1"/>
    <xf numFmtId="0" fontId="6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166" fontId="10" fillId="2" borderId="1" xfId="4" applyFont="1" applyFill="1" applyBorder="1" applyAlignment="1" applyProtection="1">
      <alignment horizontal="center" vertical="center" wrapText="1"/>
    </xf>
    <xf numFmtId="166" fontId="1" fillId="0" borderId="0" xfId="1" applyNumberFormat="1"/>
    <xf numFmtId="166" fontId="1" fillId="0" borderId="1" xfId="4" applyFont="1" applyFill="1" applyBorder="1" applyAlignment="1" applyProtection="1">
      <alignment horizontal="center"/>
    </xf>
    <xf numFmtId="164" fontId="1" fillId="0" borderId="1" xfId="7" applyNumberFormat="1" applyFont="1" applyFill="1" applyBorder="1" applyAlignment="1" applyProtection="1">
      <alignment horizontal="center"/>
    </xf>
    <xf numFmtId="166" fontId="1" fillId="0" borderId="1" xfId="5" applyNumberFormat="1" applyFont="1" applyFill="1" applyBorder="1" applyAlignment="1" applyProtection="1">
      <alignment horizontal="center"/>
    </xf>
    <xf numFmtId="0" fontId="1" fillId="0" borderId="0" xfId="1" applyFill="1"/>
    <xf numFmtId="166" fontId="1" fillId="0" borderId="0" xfId="1" applyNumberFormat="1" applyFill="1"/>
    <xf numFmtId="166" fontId="1" fillId="0" borderId="0" xfId="7" applyNumberFormat="1" applyFont="1" applyFill="1" applyBorder="1" applyAlignment="1" applyProtection="1">
      <alignment horizontal="center"/>
    </xf>
    <xf numFmtId="0" fontId="9" fillId="0" borderId="0" xfId="1" applyFont="1"/>
    <xf numFmtId="0" fontId="1" fillId="0" borderId="0" xfId="2" applyFont="1" applyBorder="1" applyAlignment="1">
      <alignment horizontal="center"/>
    </xf>
    <xf numFmtId="166" fontId="1" fillId="0" borderId="0" xfId="5" applyNumberFormat="1" applyFont="1" applyFill="1" applyBorder="1" applyAlignment="1" applyProtection="1">
      <alignment horizontal="center"/>
    </xf>
    <xf numFmtId="9" fontId="4" fillId="2" borderId="6" xfId="3" applyFont="1" applyFill="1" applyBorder="1" applyAlignment="1">
      <alignment horizontal="center" vertical="center" wrapText="1"/>
    </xf>
    <xf numFmtId="166" fontId="10" fillId="2" borderId="4" xfId="4" applyFont="1" applyFill="1" applyBorder="1" applyAlignment="1" applyProtection="1">
      <alignment horizontal="center" vertical="center" wrapText="1"/>
    </xf>
    <xf numFmtId="0" fontId="4" fillId="0" borderId="0" xfId="1" applyFont="1"/>
    <xf numFmtId="0" fontId="1" fillId="0" borderId="0" xfId="1" applyAlignment="1">
      <alignment horizontal="center"/>
    </xf>
    <xf numFmtId="166" fontId="1" fillId="0" borderId="1" xfId="3" applyNumberFormat="1" applyFont="1" applyFill="1" applyBorder="1" applyAlignment="1" applyProtection="1">
      <alignment horizontal="center" vertical="center"/>
    </xf>
    <xf numFmtId="9" fontId="1" fillId="0" borderId="1" xfId="3" applyNumberFormat="1" applyFont="1" applyFill="1" applyBorder="1" applyAlignment="1" applyProtection="1">
      <alignment horizontal="center" vertical="center"/>
    </xf>
    <xf numFmtId="0" fontId="9" fillId="0" borderId="10" xfId="1" applyFont="1" applyBorder="1" applyAlignment="1"/>
    <xf numFmtId="0" fontId="1" fillId="0" borderId="0" xfId="1" applyAlignment="1"/>
    <xf numFmtId="0" fontId="6" fillId="4" borderId="6" xfId="1" applyFont="1" applyFill="1" applyBorder="1" applyAlignment="1">
      <alignment horizontal="center" vertical="center" wrapText="1"/>
    </xf>
    <xf numFmtId="0" fontId="12" fillId="0" borderId="11" xfId="8" applyFont="1" applyFill="1" applyBorder="1"/>
    <xf numFmtId="0" fontId="10" fillId="2" borderId="7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7" fillId="0" borderId="0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0" fillId="2" borderId="5" xfId="1" applyFont="1" applyFill="1" applyBorder="1" applyAlignment="1">
      <alignment horizontal="left" vertical="center" wrapText="1"/>
    </xf>
  </cellXfs>
  <cellStyles count="9">
    <cellStyle name="Гиперссылка" xfId="8" builtinId="8"/>
    <cellStyle name="Обычный" xfId="0" builtinId="0"/>
    <cellStyle name="Обычный_Kalkul" xfId="1"/>
    <cellStyle name="Обычный_Книга2" xfId="2"/>
    <cellStyle name="Процентный_Kalkul" xfId="3"/>
    <cellStyle name="Финансовый_Kalkul" xfId="4"/>
    <cellStyle name="Финансовый_Книга2" xfId="5"/>
    <cellStyle name="Финансовый_Книга2_Справосник по материалам" xfId="6"/>
    <cellStyle name="Финансовый_Книга2_Справосник по материалам_Kalkul" xfId="7"/>
  </cellStyles>
  <dxfs count="1"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36"/>
  <sheetViews>
    <sheetView workbookViewId="0">
      <pane xSplit="3" ySplit="3" topLeftCell="D4" activePane="bottomRight" state="frozen"/>
      <selection pane="topRight" activeCell="FI1" sqref="FI1"/>
      <selection pane="bottomLeft" activeCell="A318" sqref="A318"/>
      <selection pane="bottomRight" activeCell="C8" sqref="C8"/>
    </sheetView>
  </sheetViews>
  <sheetFormatPr defaultColWidth="8" defaultRowHeight="12.75" x14ac:dyDescent="0.2"/>
  <cols>
    <col min="1" max="1" width="46.140625" style="1" customWidth="1"/>
    <col min="2" max="2" width="9.85546875" style="1" customWidth="1"/>
    <col min="3" max="3" width="11.28515625" style="2" customWidth="1"/>
    <col min="4" max="12" width="11.7109375" style="1" customWidth="1"/>
    <col min="13" max="63" width="8" style="1" customWidth="1"/>
    <col min="64" max="64" width="13.85546875" style="1" customWidth="1"/>
    <col min="65" max="229" width="8" style="1" customWidth="1"/>
  </cols>
  <sheetData>
    <row r="1" spans="1:229" ht="18.75" x14ac:dyDescent="0.3">
      <c r="A1" s="45"/>
      <c r="D1" s="1" t="s">
        <v>97</v>
      </c>
      <c r="E1" s="1" t="s">
        <v>101</v>
      </c>
      <c r="F1" s="1" t="s">
        <v>98</v>
      </c>
      <c r="G1" s="1" t="s">
        <v>102</v>
      </c>
      <c r="H1" s="1" t="s">
        <v>103</v>
      </c>
      <c r="I1" s="1" t="s">
        <v>104</v>
      </c>
      <c r="J1" s="1" t="s">
        <v>99</v>
      </c>
      <c r="K1" s="1" t="s">
        <v>100</v>
      </c>
      <c r="L1" s="1" t="s">
        <v>105</v>
      </c>
    </row>
    <row r="2" spans="1:229" ht="54" customHeight="1" x14ac:dyDescent="0.2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229" ht="12" customHeight="1" x14ac:dyDescent="0.2">
      <c r="A3" s="5" t="s">
        <v>12</v>
      </c>
      <c r="B3" s="5"/>
      <c r="C3" s="6"/>
      <c r="D3" s="7">
        <f t="shared" ref="D3:L3" si="0">SUMPRODUCT($C$4:$C$7,D4:D7)</f>
        <v>182.84100000000001</v>
      </c>
      <c r="E3" s="7">
        <f t="shared" si="0"/>
        <v>161.79400000000001</v>
      </c>
      <c r="F3" s="7">
        <f t="shared" si="0"/>
        <v>224.376</v>
      </c>
      <c r="G3" s="7">
        <f t="shared" si="0"/>
        <v>173.59399999999999</v>
      </c>
      <c r="H3" s="7">
        <f t="shared" si="0"/>
        <v>179.494</v>
      </c>
      <c r="I3" s="7">
        <f t="shared" si="0"/>
        <v>28.874000000000002</v>
      </c>
      <c r="J3" s="7">
        <f t="shared" si="0"/>
        <v>260.37299999999999</v>
      </c>
      <c r="K3" s="7">
        <f t="shared" si="0"/>
        <v>204.99299999999999</v>
      </c>
      <c r="L3" s="7">
        <f t="shared" si="0"/>
        <v>33.994</v>
      </c>
    </row>
    <row r="4" spans="1:229" s="11" customFormat="1" ht="12.75" customHeight="1" x14ac:dyDescent="0.2">
      <c r="A4" s="8" t="s">
        <v>13</v>
      </c>
      <c r="B4" s="9" t="s">
        <v>14</v>
      </c>
      <c r="C4" s="10">
        <v>27.69</v>
      </c>
      <c r="D4" s="11">
        <v>6.3</v>
      </c>
      <c r="F4" s="11">
        <v>7.8</v>
      </c>
      <c r="J4" s="11">
        <v>9.1</v>
      </c>
      <c r="K4" s="11">
        <v>7.1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29" s="11" customFormat="1" ht="12.75" customHeight="1" x14ac:dyDescent="0.2">
      <c r="A5" s="8" t="s">
        <v>15</v>
      </c>
      <c r="B5" s="9" t="s">
        <v>14</v>
      </c>
      <c r="C5" s="10">
        <v>29.5</v>
      </c>
      <c r="E5" s="11">
        <v>5.2</v>
      </c>
      <c r="G5" s="11">
        <v>5.6</v>
      </c>
      <c r="H5" s="11">
        <v>5.8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29" s="11" customFormat="1" ht="12.75" customHeight="1" x14ac:dyDescent="0.2">
      <c r="A6" s="8" t="s">
        <v>16</v>
      </c>
      <c r="B6" s="9" t="s">
        <v>14</v>
      </c>
      <c r="C6" s="10">
        <v>25.6</v>
      </c>
      <c r="I6" s="11">
        <v>0.8</v>
      </c>
      <c r="L6" s="11">
        <v>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29" s="11" customFormat="1" ht="12.75" customHeight="1" x14ac:dyDescent="0.2">
      <c r="A7" s="8" t="s">
        <v>17</v>
      </c>
      <c r="B7" s="9" t="s">
        <v>14</v>
      </c>
      <c r="C7" s="10">
        <v>27.98</v>
      </c>
      <c r="D7" s="11">
        <v>0.3</v>
      </c>
      <c r="E7" s="11">
        <v>0.3</v>
      </c>
      <c r="F7" s="11">
        <v>0.3</v>
      </c>
      <c r="G7" s="11">
        <v>0.3</v>
      </c>
      <c r="H7" s="11">
        <v>0.3</v>
      </c>
      <c r="I7" s="11">
        <v>0.3</v>
      </c>
      <c r="J7" s="11">
        <v>0.3</v>
      </c>
      <c r="K7" s="11">
        <v>0.3</v>
      </c>
      <c r="L7" s="11">
        <v>0.3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29" x14ac:dyDescent="0.2">
      <c r="A8" s="5" t="s">
        <v>18</v>
      </c>
      <c r="B8" s="5"/>
      <c r="C8" s="6"/>
      <c r="D8" s="7">
        <f t="shared" ref="D8:L8" si="1">SUMPRODUCT($C$9:$C$24,D9:D24)</f>
        <v>99.820000000000007</v>
      </c>
      <c r="E8" s="7">
        <f t="shared" si="1"/>
        <v>99.789999999999992</v>
      </c>
      <c r="F8" s="7">
        <f t="shared" si="1"/>
        <v>108.82000000000001</v>
      </c>
      <c r="G8" s="7">
        <f t="shared" si="1"/>
        <v>99.789999999999992</v>
      </c>
      <c r="H8" s="7">
        <f t="shared" si="1"/>
        <v>99.789999999999992</v>
      </c>
      <c r="I8" s="7">
        <f t="shared" si="1"/>
        <v>74.06</v>
      </c>
      <c r="J8" s="7">
        <f t="shared" si="1"/>
        <v>131.32000000000002</v>
      </c>
      <c r="K8" s="7">
        <f t="shared" si="1"/>
        <v>77.320000000000007</v>
      </c>
      <c r="L8" s="7">
        <f t="shared" si="1"/>
        <v>74.06</v>
      </c>
    </row>
    <row r="9" spans="1:229" s="11" customFormat="1" x14ac:dyDescent="0.2">
      <c r="A9" s="8" t="s">
        <v>19</v>
      </c>
      <c r="B9" s="9" t="s">
        <v>20</v>
      </c>
      <c r="C9" s="10">
        <v>0.3</v>
      </c>
      <c r="D9" s="11">
        <v>1</v>
      </c>
      <c r="E9" s="11">
        <v>2</v>
      </c>
      <c r="F9" s="11">
        <v>1</v>
      </c>
      <c r="G9" s="11">
        <v>2</v>
      </c>
      <c r="H9" s="11">
        <v>2</v>
      </c>
      <c r="J9" s="11">
        <v>1</v>
      </c>
      <c r="K9" s="11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29" s="11" customFormat="1" x14ac:dyDescent="0.2">
      <c r="A10" s="8" t="s">
        <v>21</v>
      </c>
      <c r="B10" s="9" t="s">
        <v>20</v>
      </c>
      <c r="C10" s="10">
        <v>18</v>
      </c>
      <c r="D10" s="11">
        <v>1</v>
      </c>
      <c r="E10" s="11">
        <v>2</v>
      </c>
      <c r="F10" s="11">
        <v>1</v>
      </c>
      <c r="G10" s="11">
        <v>2</v>
      </c>
      <c r="H10" s="11">
        <v>2</v>
      </c>
      <c r="J10" s="11">
        <v>1</v>
      </c>
      <c r="K10" s="11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29" s="11" customFormat="1" x14ac:dyDescent="0.2">
      <c r="A11" s="8" t="s">
        <v>22</v>
      </c>
      <c r="B11" s="9" t="s">
        <v>14</v>
      </c>
      <c r="C11" s="10">
        <v>90</v>
      </c>
      <c r="D11" s="11">
        <v>0.25</v>
      </c>
      <c r="F11" s="11">
        <v>0.35</v>
      </c>
      <c r="I11" s="11">
        <v>0.1</v>
      </c>
      <c r="J11" s="11">
        <v>0.6</v>
      </c>
      <c r="L11" s="11">
        <v>0.1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29" s="11" customFormat="1" x14ac:dyDescent="0.2">
      <c r="A12" s="8" t="s">
        <v>23</v>
      </c>
      <c r="B12" s="9" t="s">
        <v>20</v>
      </c>
      <c r="C12" s="10">
        <v>14.95</v>
      </c>
      <c r="D12" s="11">
        <v>1</v>
      </c>
      <c r="F12" s="11">
        <v>1</v>
      </c>
      <c r="J12" s="11">
        <v>1</v>
      </c>
      <c r="K12" s="11">
        <v>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29" s="11" customFormat="1" x14ac:dyDescent="0.2">
      <c r="A13" s="8" t="s">
        <v>24</v>
      </c>
      <c r="B13" s="9" t="s">
        <v>20</v>
      </c>
      <c r="C13" s="10">
        <v>28.5</v>
      </c>
      <c r="E13" s="11">
        <v>1</v>
      </c>
      <c r="G13" s="11">
        <v>1</v>
      </c>
      <c r="H13" s="11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29" s="11" customFormat="1" x14ac:dyDescent="0.2">
      <c r="A14" s="8" t="s">
        <v>25</v>
      </c>
      <c r="B14" s="9" t="s">
        <v>20</v>
      </c>
      <c r="C14" s="10">
        <v>30.6</v>
      </c>
      <c r="I14" s="11">
        <v>1</v>
      </c>
      <c r="L14" s="11"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29" s="11" customFormat="1" x14ac:dyDescent="0.2">
      <c r="A15" s="8" t="s">
        <v>26</v>
      </c>
      <c r="B15" s="9" t="s">
        <v>20</v>
      </c>
      <c r="C15" s="10">
        <v>20.66</v>
      </c>
      <c r="D15" s="11">
        <v>1</v>
      </c>
      <c r="F15" s="11">
        <v>1</v>
      </c>
      <c r="J15" s="11">
        <v>1</v>
      </c>
      <c r="K15" s="11">
        <v>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29" s="11" customFormat="1" x14ac:dyDescent="0.2">
      <c r="A16" s="8" t="s">
        <v>27</v>
      </c>
      <c r="B16" s="9" t="s">
        <v>20</v>
      </c>
      <c r="C16" s="10">
        <v>10.99</v>
      </c>
      <c r="E16" s="11">
        <v>1</v>
      </c>
      <c r="G16" s="11">
        <v>1</v>
      </c>
      <c r="H16" s="11">
        <v>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29" s="11" customFormat="1" x14ac:dyDescent="0.2">
      <c r="A17" s="8" t="s">
        <v>28</v>
      </c>
      <c r="B17" s="9" t="s">
        <v>20</v>
      </c>
      <c r="C17" s="10">
        <v>11.69</v>
      </c>
      <c r="I17" s="11">
        <v>1</v>
      </c>
      <c r="L17" s="11">
        <v>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29" s="11" customFormat="1" x14ac:dyDescent="0.2">
      <c r="A18" s="8" t="s">
        <v>29</v>
      </c>
      <c r="B18" s="9" t="s">
        <v>20</v>
      </c>
      <c r="C18" s="10">
        <v>0.6</v>
      </c>
      <c r="D18" s="11">
        <v>2</v>
      </c>
      <c r="E18" s="11">
        <v>2</v>
      </c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11">
        <v>2</v>
      </c>
      <c r="L18" s="11">
        <v>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29" x14ac:dyDescent="0.2">
      <c r="A19" s="8" t="s">
        <v>30</v>
      </c>
      <c r="B19" s="9" t="s">
        <v>31</v>
      </c>
      <c r="C19" s="10">
        <v>0.3</v>
      </c>
      <c r="D19" s="11">
        <v>4</v>
      </c>
      <c r="E19" s="11">
        <v>5</v>
      </c>
      <c r="F19" s="11">
        <v>4</v>
      </c>
      <c r="G19" s="11">
        <v>5</v>
      </c>
      <c r="H19" s="11">
        <v>5</v>
      </c>
      <c r="I19" s="11">
        <v>2</v>
      </c>
      <c r="J19" s="11">
        <v>4</v>
      </c>
      <c r="K19" s="11">
        <v>4</v>
      </c>
      <c r="L19" s="11">
        <v>2</v>
      </c>
    </row>
    <row r="20" spans="1:229" s="11" customFormat="1" x14ac:dyDescent="0.2">
      <c r="A20" s="8" t="s">
        <v>32</v>
      </c>
      <c r="B20" s="9" t="s">
        <v>20</v>
      </c>
      <c r="C20" s="10">
        <v>20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29" s="11" customFormat="1" x14ac:dyDescent="0.2">
      <c r="A21" s="8" t="s">
        <v>33</v>
      </c>
      <c r="B21" s="9" t="s">
        <v>20</v>
      </c>
      <c r="C21" s="10">
        <v>0.43</v>
      </c>
      <c r="D21" s="11">
        <v>1</v>
      </c>
      <c r="F21" s="11">
        <v>1</v>
      </c>
      <c r="J21" s="11">
        <v>1</v>
      </c>
      <c r="K21" s="11">
        <v>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29" s="11" customFormat="1" x14ac:dyDescent="0.2">
      <c r="A22" s="8" t="s">
        <v>34</v>
      </c>
      <c r="B22" s="9" t="s">
        <v>20</v>
      </c>
      <c r="C22" s="10">
        <v>0.42</v>
      </c>
      <c r="E22" s="11">
        <v>1</v>
      </c>
      <c r="G22" s="11">
        <v>1</v>
      </c>
      <c r="H22" s="11">
        <v>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29" s="11" customFormat="1" x14ac:dyDescent="0.2">
      <c r="A23" s="8" t="s">
        <v>35</v>
      </c>
      <c r="B23" s="9" t="s">
        <v>20</v>
      </c>
      <c r="C23" s="10">
        <v>0.39</v>
      </c>
      <c r="I23" s="11">
        <v>1</v>
      </c>
      <c r="L23" s="11"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</row>
    <row r="24" spans="1:229" s="11" customFormat="1" x14ac:dyDescent="0.2">
      <c r="A24" s="12" t="s">
        <v>36</v>
      </c>
      <c r="B24" s="9" t="s">
        <v>20</v>
      </c>
      <c r="C24" s="10">
        <v>0.57999999999999996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</row>
    <row r="25" spans="1:229" x14ac:dyDescent="0.2">
      <c r="A25" s="5" t="s">
        <v>37</v>
      </c>
      <c r="B25" s="5"/>
      <c r="C25" s="6"/>
      <c r="D25" s="7">
        <f t="shared" ref="D25:L25" si="2">SUMPRODUCT($C$26:$C$30,D26:D30)</f>
        <v>89.5</v>
      </c>
      <c r="E25" s="7">
        <f t="shared" si="2"/>
        <v>114.5</v>
      </c>
      <c r="F25" s="7">
        <f t="shared" si="2"/>
        <v>89.5</v>
      </c>
      <c r="G25" s="7">
        <f t="shared" si="2"/>
        <v>114.5</v>
      </c>
      <c r="H25" s="7">
        <f t="shared" si="2"/>
        <v>114.5</v>
      </c>
      <c r="I25" s="7">
        <f t="shared" si="2"/>
        <v>54.5</v>
      </c>
      <c r="J25" s="7">
        <f t="shared" si="2"/>
        <v>89.5</v>
      </c>
      <c r="K25" s="7">
        <f t="shared" si="2"/>
        <v>89.5</v>
      </c>
      <c r="L25" s="7">
        <f t="shared" si="2"/>
        <v>54.5</v>
      </c>
    </row>
    <row r="26" spans="1:229" s="11" customFormat="1" x14ac:dyDescent="0.2">
      <c r="A26" s="12" t="s">
        <v>38</v>
      </c>
      <c r="B26" s="9" t="s">
        <v>39</v>
      </c>
      <c r="C26" s="10">
        <v>100</v>
      </c>
      <c r="D26" s="11">
        <v>0.2</v>
      </c>
      <c r="E26" s="11">
        <v>0.18</v>
      </c>
      <c r="F26" s="11">
        <v>0.2</v>
      </c>
      <c r="G26" s="11">
        <v>0.18</v>
      </c>
      <c r="H26" s="11">
        <v>0.18</v>
      </c>
      <c r="I26" s="11">
        <v>0.09</v>
      </c>
      <c r="J26" s="11">
        <v>0.2</v>
      </c>
      <c r="K26" s="11">
        <v>0.2</v>
      </c>
      <c r="L26" s="11">
        <v>0.09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</row>
    <row r="27" spans="1:229" s="11" customFormat="1" x14ac:dyDescent="0.2">
      <c r="A27" s="12" t="s">
        <v>40</v>
      </c>
      <c r="B27" s="9" t="s">
        <v>39</v>
      </c>
      <c r="C27" s="10">
        <v>90</v>
      </c>
      <c r="E27" s="11">
        <v>0.3</v>
      </c>
      <c r="G27" s="11">
        <v>0.3</v>
      </c>
      <c r="H27" s="11">
        <v>0.3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</row>
    <row r="28" spans="1:229" s="11" customFormat="1" x14ac:dyDescent="0.2">
      <c r="A28" s="12" t="s">
        <v>41</v>
      </c>
      <c r="B28" s="9" t="s">
        <v>39</v>
      </c>
      <c r="C28" s="10">
        <v>100</v>
      </c>
      <c r="D28" s="11">
        <v>0.5</v>
      </c>
      <c r="E28" s="11">
        <v>0.5</v>
      </c>
      <c r="F28" s="11">
        <v>0.5</v>
      </c>
      <c r="G28" s="11">
        <v>0.5</v>
      </c>
      <c r="H28" s="11">
        <v>0.5</v>
      </c>
      <c r="I28" s="11">
        <v>0.3</v>
      </c>
      <c r="J28" s="11">
        <v>0.5</v>
      </c>
      <c r="K28" s="11">
        <v>0.5</v>
      </c>
      <c r="L28" s="11">
        <v>0.3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</row>
    <row r="29" spans="1:229" s="11" customFormat="1" x14ac:dyDescent="0.2">
      <c r="A29" s="12" t="s">
        <v>42</v>
      </c>
      <c r="B29" s="9" t="s">
        <v>39</v>
      </c>
      <c r="C29" s="10">
        <v>80</v>
      </c>
      <c r="D29" s="11">
        <v>0.15</v>
      </c>
      <c r="E29" s="11">
        <v>0.15</v>
      </c>
      <c r="F29" s="11">
        <v>0.15</v>
      </c>
      <c r="G29" s="11">
        <v>0.15</v>
      </c>
      <c r="H29" s="11">
        <v>0.15</v>
      </c>
      <c r="I29" s="11">
        <v>0.1</v>
      </c>
      <c r="J29" s="11">
        <v>0.15</v>
      </c>
      <c r="K29" s="11">
        <v>0.15</v>
      </c>
      <c r="L29" s="11">
        <v>0.1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</row>
    <row r="30" spans="1:229" s="11" customFormat="1" x14ac:dyDescent="0.2">
      <c r="A30" s="12" t="s">
        <v>43</v>
      </c>
      <c r="B30" s="9" t="s">
        <v>39</v>
      </c>
      <c r="C30" s="10">
        <v>75</v>
      </c>
      <c r="D30" s="11">
        <v>0.1</v>
      </c>
      <c r="E30" s="11">
        <v>0.1</v>
      </c>
      <c r="F30" s="11">
        <v>0.1</v>
      </c>
      <c r="G30" s="11">
        <v>0.1</v>
      </c>
      <c r="H30" s="11">
        <v>0.1</v>
      </c>
      <c r="I30" s="11">
        <v>0.1</v>
      </c>
      <c r="J30" s="11">
        <v>0.1</v>
      </c>
      <c r="K30" s="11">
        <v>0.1</v>
      </c>
      <c r="L30" s="11">
        <v>0.1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</row>
    <row r="31" spans="1:229" x14ac:dyDescent="0.2">
      <c r="A31" s="5" t="s">
        <v>44</v>
      </c>
      <c r="B31" s="5"/>
      <c r="C31" s="6"/>
      <c r="D31" s="7">
        <f t="shared" ref="D31:L31" si="3">(D25)*0.26</f>
        <v>23.27</v>
      </c>
      <c r="E31" s="7">
        <f t="shared" si="3"/>
        <v>29.77</v>
      </c>
      <c r="F31" s="7">
        <f t="shared" si="3"/>
        <v>23.27</v>
      </c>
      <c r="G31" s="7">
        <f t="shared" si="3"/>
        <v>29.77</v>
      </c>
      <c r="H31" s="7">
        <f t="shared" si="3"/>
        <v>29.77</v>
      </c>
      <c r="I31" s="7">
        <f t="shared" si="3"/>
        <v>14.17</v>
      </c>
      <c r="J31" s="7">
        <f t="shared" si="3"/>
        <v>23.27</v>
      </c>
      <c r="K31" s="7">
        <f t="shared" si="3"/>
        <v>23.27</v>
      </c>
      <c r="L31" s="7">
        <f t="shared" si="3"/>
        <v>14.17</v>
      </c>
    </row>
    <row r="32" spans="1:229" x14ac:dyDescent="0.2">
      <c r="A32" s="13" t="s">
        <v>45</v>
      </c>
      <c r="B32" s="13"/>
      <c r="C32" s="14"/>
      <c r="D32" s="15">
        <f t="shared" ref="D32:L32" si="4">D3+D8+D25+D31</f>
        <v>395.43099999999998</v>
      </c>
      <c r="E32" s="15">
        <f t="shared" si="4"/>
        <v>405.85399999999998</v>
      </c>
      <c r="F32" s="15">
        <f t="shared" si="4"/>
        <v>445.96600000000001</v>
      </c>
      <c r="G32" s="15">
        <f t="shared" si="4"/>
        <v>417.654</v>
      </c>
      <c r="H32" s="15">
        <f t="shared" si="4"/>
        <v>423.55399999999997</v>
      </c>
      <c r="I32" s="15">
        <f t="shared" si="4"/>
        <v>171.60399999999998</v>
      </c>
      <c r="J32" s="15">
        <f t="shared" si="4"/>
        <v>504.46299999999997</v>
      </c>
      <c r="K32" s="15">
        <f t="shared" si="4"/>
        <v>395.08299999999997</v>
      </c>
      <c r="L32" s="15">
        <f t="shared" si="4"/>
        <v>176.72399999999999</v>
      </c>
    </row>
    <row r="34" spans="1:229" s="11" customFormat="1" x14ac:dyDescent="0.2">
      <c r="A34" s="8" t="s">
        <v>106</v>
      </c>
      <c r="B34" s="9" t="s">
        <v>52</v>
      </c>
      <c r="C34" s="10"/>
      <c r="D34" s="11">
        <f t="shared" ref="D34:L34" si="5">ROUNDUP(D36*1.35/10,0)*10</f>
        <v>600</v>
      </c>
      <c r="E34" s="11">
        <f t="shared" si="5"/>
        <v>680</v>
      </c>
      <c r="F34" s="11">
        <f t="shared" si="5"/>
        <v>680</v>
      </c>
      <c r="G34" s="11">
        <f t="shared" si="5"/>
        <v>650</v>
      </c>
      <c r="H34" s="11">
        <f t="shared" si="5"/>
        <v>680</v>
      </c>
      <c r="I34" s="11">
        <f t="shared" si="5"/>
        <v>320</v>
      </c>
      <c r="J34" s="11">
        <f t="shared" si="5"/>
        <v>950</v>
      </c>
      <c r="K34" s="11">
        <f t="shared" si="5"/>
        <v>570</v>
      </c>
      <c r="L34" s="11">
        <f t="shared" si="5"/>
        <v>320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s="11" customFormat="1" x14ac:dyDescent="0.2">
      <c r="A35" s="8" t="s">
        <v>107</v>
      </c>
      <c r="B35" s="9" t="s">
        <v>52</v>
      </c>
      <c r="C35" s="10"/>
      <c r="D35" s="11">
        <f t="shared" ref="D35:L35" si="6">ROUNDUP(D36*1.2/10,0)*10</f>
        <v>530</v>
      </c>
      <c r="E35" s="11">
        <f t="shared" si="6"/>
        <v>600</v>
      </c>
      <c r="F35" s="11">
        <f t="shared" si="6"/>
        <v>600</v>
      </c>
      <c r="G35" s="11">
        <f t="shared" si="6"/>
        <v>580</v>
      </c>
      <c r="H35" s="11">
        <f t="shared" si="6"/>
        <v>600</v>
      </c>
      <c r="I35" s="11">
        <f t="shared" si="6"/>
        <v>280</v>
      </c>
      <c r="J35" s="11">
        <f t="shared" si="6"/>
        <v>840</v>
      </c>
      <c r="K35" s="11">
        <f t="shared" si="6"/>
        <v>510</v>
      </c>
      <c r="L35" s="11">
        <f t="shared" si="6"/>
        <v>280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s="11" customFormat="1" x14ac:dyDescent="0.2">
      <c r="A36" s="8" t="s">
        <v>108</v>
      </c>
      <c r="B36" s="9" t="s">
        <v>52</v>
      </c>
      <c r="C36" s="10"/>
      <c r="D36" s="11">
        <v>440</v>
      </c>
      <c r="E36" s="11">
        <v>500</v>
      </c>
      <c r="F36" s="11">
        <v>500</v>
      </c>
      <c r="G36" s="11">
        <v>480</v>
      </c>
      <c r="H36" s="11">
        <v>500</v>
      </c>
      <c r="I36" s="11">
        <v>230</v>
      </c>
      <c r="J36" s="11">
        <v>700</v>
      </c>
      <c r="K36" s="11">
        <v>420</v>
      </c>
      <c r="L36" s="11">
        <v>230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</sheetData>
  <sheetProtection selectLockedCells="1" selectUnlockedCells="1"/>
  <autoFilter ref="A2:L32"/>
  <phoneticPr fontId="3" type="noConversion"/>
  <conditionalFormatting sqref="D9:L24 D4:L7 D26:L30 D34:L36">
    <cfRule type="cellIs" dxfId="0" priority="1" stopIfTrue="1" operator="equal">
      <formula>0</formula>
    </cfRule>
  </conditionalFormatting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68"/>
  <sheetViews>
    <sheetView tabSelected="1" workbookViewId="0">
      <pane xSplit="1" ySplit="9" topLeftCell="B53" activePane="bottomRight" state="frozen"/>
      <selection pane="topRight" activeCell="B1" sqref="B1"/>
      <selection pane="bottomLeft" activeCell="A11" sqref="A11"/>
      <selection pane="bottomRight" activeCell="H6" sqref="H6"/>
    </sheetView>
  </sheetViews>
  <sheetFormatPr defaultColWidth="8" defaultRowHeight="12.75" x14ac:dyDescent="0.2"/>
  <cols>
    <col min="1" max="1" width="8" style="17"/>
    <col min="2" max="2" width="42.7109375" style="17" customWidth="1"/>
    <col min="3" max="3" width="8" style="17"/>
    <col min="4" max="4" width="12.28515625" style="17" customWidth="1"/>
    <col min="5" max="5" width="13.28515625" style="17" customWidth="1"/>
    <col min="6" max="6" width="14.28515625" style="17" customWidth="1"/>
    <col min="7" max="7" width="8" style="17"/>
    <col min="8" max="8" width="10.28515625" style="17" customWidth="1"/>
    <col min="9" max="16384" width="8" style="17"/>
  </cols>
  <sheetData>
    <row r="1" spans="1:10" ht="15.2" customHeight="1" x14ac:dyDescent="0.25">
      <c r="A1" s="52" t="s">
        <v>46</v>
      </c>
      <c r="B1" s="52"/>
      <c r="C1" s="18"/>
      <c r="D1" s="19" t="s">
        <v>47</v>
      </c>
      <c r="E1" s="19"/>
      <c r="F1" s="18"/>
    </row>
    <row r="2" spans="1:10" ht="15.75" x14ac:dyDescent="0.25">
      <c r="A2" s="52"/>
      <c r="B2" s="52"/>
      <c r="C2" s="18"/>
      <c r="D2" s="19" t="s">
        <v>48</v>
      </c>
      <c r="E2" s="19"/>
      <c r="F2" s="18"/>
    </row>
    <row r="3" spans="1:10" x14ac:dyDescent="0.2">
      <c r="A3" s="52"/>
      <c r="B3" s="52"/>
      <c r="C3" s="18"/>
      <c r="D3" s="18"/>
      <c r="E3" s="18"/>
      <c r="F3" s="20">
        <f ca="1">TODAY()</f>
        <v>42919</v>
      </c>
      <c r="J3" s="21"/>
    </row>
    <row r="5" spans="1:10" ht="17.850000000000001" customHeight="1" x14ac:dyDescent="0.2">
      <c r="A5" s="50" t="str">
        <f>HLOOKUP(F5,нормы!$D$1:$L$2,2,FALSE)</f>
        <v>Товар BB</v>
      </c>
      <c r="B5" s="50"/>
      <c r="C5" s="50"/>
      <c r="D5" s="50"/>
      <c r="E5" s="22" t="s">
        <v>96</v>
      </c>
      <c r="F5" s="44" t="s">
        <v>102</v>
      </c>
    </row>
    <row r="7" spans="1:10" x14ac:dyDescent="0.2">
      <c r="A7" s="23" t="s">
        <v>49</v>
      </c>
      <c r="B7" s="23" t="s">
        <v>50</v>
      </c>
      <c r="D7" s="53" t="s">
        <v>51</v>
      </c>
      <c r="E7" s="53"/>
      <c r="F7" s="23" t="s">
        <v>52</v>
      </c>
    </row>
    <row r="9" spans="1:10" ht="25.5" x14ac:dyDescent="0.2">
      <c r="A9" s="24" t="s">
        <v>53</v>
      </c>
      <c r="B9" s="24" t="s">
        <v>54</v>
      </c>
      <c r="C9" s="24" t="s">
        <v>55</v>
      </c>
      <c r="D9" s="24" t="s">
        <v>56</v>
      </c>
      <c r="E9" s="24" t="s">
        <v>57</v>
      </c>
      <c r="F9" s="24" t="s">
        <v>58</v>
      </c>
    </row>
    <row r="10" spans="1:10" ht="12.75" customHeight="1" x14ac:dyDescent="0.2">
      <c r="A10" s="54" t="s">
        <v>59</v>
      </c>
      <c r="B10" s="55"/>
      <c r="C10" s="55"/>
      <c r="D10" s="55"/>
      <c r="E10" s="56"/>
      <c r="F10" s="25">
        <f>SUM(F11:F14)</f>
        <v>173.59399999999999</v>
      </c>
      <c r="H10" s="26"/>
    </row>
    <row r="11" spans="1:10" hidden="1" x14ac:dyDescent="0.2">
      <c r="A11" s="27" t="s">
        <v>60</v>
      </c>
      <c r="B11" s="8" t="str">
        <f>нормы!A4</f>
        <v xml:space="preserve"> Ст лист х/к 0,8х1250х2500 08пс</v>
      </c>
      <c r="C11" s="29" t="str">
        <f>нормы!B4</f>
        <v>кг</v>
      </c>
      <c r="D11" s="28">
        <f>HLOOKUP($F$5,нормы!$D$1:$L$36,ROW(нормы!D4),FALSE)</f>
        <v>0</v>
      </c>
      <c r="E11" s="29">
        <f>нормы!C4</f>
        <v>27.69</v>
      </c>
      <c r="F11" s="27">
        <f>D11*E11</f>
        <v>0</v>
      </c>
    </row>
    <row r="12" spans="1:10" x14ac:dyDescent="0.2">
      <c r="A12" s="27" t="s">
        <v>61</v>
      </c>
      <c r="B12" s="8" t="str">
        <f>нормы!A5</f>
        <v xml:space="preserve"> Ст лист х/к 1,2х1250х2500 08пс</v>
      </c>
      <c r="C12" s="29" t="str">
        <f>нормы!B5</f>
        <v>кг</v>
      </c>
      <c r="D12" s="28">
        <f>HLOOKUP($F$5,нормы!$D$1:$L$36,ROW(нормы!D5),FALSE)</f>
        <v>5.6</v>
      </c>
      <c r="E12" s="29">
        <f>нормы!C5</f>
        <v>29.5</v>
      </c>
      <c r="F12" s="27">
        <f>D12*E12</f>
        <v>165.2</v>
      </c>
    </row>
    <row r="13" spans="1:10" hidden="1" x14ac:dyDescent="0.2">
      <c r="A13" s="27" t="s">
        <v>62</v>
      </c>
      <c r="B13" s="8" t="str">
        <f>нормы!A6</f>
        <v xml:space="preserve"> Ст лист х/к 1,5х1250х2500 08пс</v>
      </c>
      <c r="C13" s="29" t="str">
        <f>нормы!B6</f>
        <v>кг</v>
      </c>
      <c r="D13" s="28">
        <f>HLOOKUP($F$5,нормы!$D$1:$L$36,ROW(нормы!D6),FALSE)</f>
        <v>0</v>
      </c>
      <c r="E13" s="29">
        <f>нормы!C6</f>
        <v>25.6</v>
      </c>
      <c r="F13" s="27">
        <f>D13*E13</f>
        <v>0</v>
      </c>
    </row>
    <row r="14" spans="1:10" x14ac:dyDescent="0.2">
      <c r="A14" s="27" t="s">
        <v>63</v>
      </c>
      <c r="B14" s="8" t="str">
        <f>нормы!A7</f>
        <v xml:space="preserve"> Ст лист х/к 2.0х1250х2500 08пс</v>
      </c>
      <c r="C14" s="29" t="str">
        <f>нормы!B7</f>
        <v>кг</v>
      </c>
      <c r="D14" s="28">
        <f>HLOOKUP($F$5,нормы!$D$1:$L$36,ROW(нормы!D7),FALSE)</f>
        <v>0.3</v>
      </c>
      <c r="E14" s="29">
        <f>нормы!C7</f>
        <v>27.98</v>
      </c>
      <c r="F14" s="27">
        <f>D14*E14</f>
        <v>8.3940000000000001</v>
      </c>
    </row>
    <row r="15" spans="1:10" ht="15.6" customHeight="1" x14ac:dyDescent="0.2">
      <c r="A15" s="54" t="s">
        <v>64</v>
      </c>
      <c r="B15" s="55"/>
      <c r="C15" s="55"/>
      <c r="D15" s="55"/>
      <c r="E15" s="56"/>
      <c r="F15" s="25">
        <f>SUM(F16:F31)</f>
        <v>99.789999999999992</v>
      </c>
      <c r="G15" s="30"/>
      <c r="H15" s="30"/>
    </row>
    <row r="16" spans="1:10" x14ac:dyDescent="0.2">
      <c r="A16" s="27" t="s">
        <v>65</v>
      </c>
      <c r="B16" s="8" t="str">
        <f>нормы!A9</f>
        <v xml:space="preserve"> Саморезы</v>
      </c>
      <c r="C16" s="29" t="str">
        <f>нормы!B9</f>
        <v>шт</v>
      </c>
      <c r="D16" s="28">
        <f>HLOOKUP($F$5,нормы!$D$1:$L$36,ROW(нормы!D9),FALSE)</f>
        <v>2</v>
      </c>
      <c r="E16" s="29">
        <f>нормы!C9</f>
        <v>0.3</v>
      </c>
      <c r="F16" s="27">
        <f t="shared" ref="F16:F31" si="0">D16*E16</f>
        <v>0.6</v>
      </c>
    </row>
    <row r="17" spans="1:8" x14ac:dyDescent="0.2">
      <c r="A17" s="27" t="s">
        <v>66</v>
      </c>
      <c r="B17" s="8" t="str">
        <f>нормы!A10</f>
        <v xml:space="preserve"> Ручка</v>
      </c>
      <c r="C17" s="29" t="str">
        <f>нормы!B10</f>
        <v>шт</v>
      </c>
      <c r="D17" s="28">
        <f>HLOOKUP($F$5,нормы!$D$1:$L$36,ROW(нормы!D10),FALSE)</f>
        <v>2</v>
      </c>
      <c r="E17" s="29">
        <f>нормы!C10</f>
        <v>18</v>
      </c>
      <c r="F17" s="27">
        <f t="shared" si="0"/>
        <v>36</v>
      </c>
      <c r="G17" s="31"/>
      <c r="H17" s="32"/>
    </row>
    <row r="18" spans="1:8" hidden="1" x14ac:dyDescent="0.2">
      <c r="A18" s="27" t="s">
        <v>67</v>
      </c>
      <c r="B18" s="8" t="str">
        <f>нормы!A11</f>
        <v>Краска</v>
      </c>
      <c r="C18" s="29" t="str">
        <f>нормы!B11</f>
        <v>кг</v>
      </c>
      <c r="D18" s="28">
        <f>HLOOKUP($F$5,нормы!$D$1:$L$36,ROW(нормы!D11),FALSE)</f>
        <v>0</v>
      </c>
      <c r="E18" s="29">
        <f>нормы!C11</f>
        <v>90</v>
      </c>
      <c r="F18" s="27">
        <f t="shared" si="0"/>
        <v>0</v>
      </c>
      <c r="G18" s="31"/>
      <c r="H18" s="30"/>
    </row>
    <row r="19" spans="1:8" hidden="1" x14ac:dyDescent="0.2">
      <c r="A19" s="27" t="s">
        <v>68</v>
      </c>
      <c r="B19" s="8" t="str">
        <f>нормы!A12</f>
        <v>Упаковка А</v>
      </c>
      <c r="C19" s="29" t="str">
        <f>нормы!B12</f>
        <v>шт</v>
      </c>
      <c r="D19" s="28">
        <f>HLOOKUP($F$5,нормы!$D$1:$L$36,ROW(нормы!D12),FALSE)</f>
        <v>0</v>
      </c>
      <c r="E19" s="29">
        <f>нормы!C12</f>
        <v>14.95</v>
      </c>
      <c r="F19" s="27">
        <f t="shared" si="0"/>
        <v>0</v>
      </c>
      <c r="G19" s="31"/>
      <c r="H19" s="30"/>
    </row>
    <row r="20" spans="1:8" x14ac:dyDescent="0.2">
      <c r="A20" s="27" t="s">
        <v>69</v>
      </c>
      <c r="B20" s="8" t="str">
        <f>нормы!A13</f>
        <v>Упаковка B</v>
      </c>
      <c r="C20" s="29" t="str">
        <f>нормы!B13</f>
        <v>шт</v>
      </c>
      <c r="D20" s="28">
        <f>HLOOKUP($F$5,нормы!$D$1:$L$36,ROW(нормы!D13),FALSE)</f>
        <v>1</v>
      </c>
      <c r="E20" s="29">
        <f>нормы!C13</f>
        <v>28.5</v>
      </c>
      <c r="F20" s="27">
        <f t="shared" si="0"/>
        <v>28.5</v>
      </c>
      <c r="G20" s="31"/>
    </row>
    <row r="21" spans="1:8" hidden="1" x14ac:dyDescent="0.2">
      <c r="A21" s="27" t="s">
        <v>70</v>
      </c>
      <c r="B21" s="8" t="str">
        <f>нормы!A14</f>
        <v>Упаковка C</v>
      </c>
      <c r="C21" s="29" t="str">
        <f>нормы!B14</f>
        <v>шт</v>
      </c>
      <c r="D21" s="28">
        <f>HLOOKUP($F$5,нормы!$D$1:$L$36,ROW(нормы!D14),FALSE)</f>
        <v>0</v>
      </c>
      <c r="E21" s="29">
        <f>нормы!C14</f>
        <v>30.6</v>
      </c>
      <c r="F21" s="27">
        <f>D21*E21</f>
        <v>0</v>
      </c>
      <c r="G21" s="31"/>
    </row>
    <row r="22" spans="1:8" hidden="1" x14ac:dyDescent="0.2">
      <c r="A22" s="27" t="s">
        <v>71</v>
      </c>
      <c r="B22" s="8" t="str">
        <f>нормы!A15</f>
        <v>Паспорт А</v>
      </c>
      <c r="C22" s="29" t="str">
        <f>нормы!B15</f>
        <v>шт</v>
      </c>
      <c r="D22" s="28">
        <f>HLOOKUP($F$5,нормы!$D$1:$L$36,ROW(нормы!D15),FALSE)</f>
        <v>0</v>
      </c>
      <c r="E22" s="29">
        <f>нормы!C15</f>
        <v>20.66</v>
      </c>
      <c r="F22" s="27">
        <f>D22*E22</f>
        <v>0</v>
      </c>
      <c r="G22" s="31"/>
    </row>
    <row r="23" spans="1:8" x14ac:dyDescent="0.2">
      <c r="A23" s="27" t="s">
        <v>72</v>
      </c>
      <c r="B23" s="8" t="str">
        <f>нормы!A16</f>
        <v>Паспорт B</v>
      </c>
      <c r="C23" s="29" t="str">
        <f>нормы!B16</f>
        <v>шт</v>
      </c>
      <c r="D23" s="28">
        <f>HLOOKUP($F$5,нормы!$D$1:$L$36,ROW(нормы!D16),FALSE)</f>
        <v>1</v>
      </c>
      <c r="E23" s="29">
        <f>нормы!C16</f>
        <v>10.99</v>
      </c>
      <c r="F23" s="27">
        <f t="shared" si="0"/>
        <v>10.99</v>
      </c>
      <c r="G23" s="31"/>
    </row>
    <row r="24" spans="1:8" hidden="1" x14ac:dyDescent="0.2">
      <c r="A24" s="27" t="s">
        <v>73</v>
      </c>
      <c r="B24" s="8" t="str">
        <f>нормы!A17</f>
        <v>Паспорт C</v>
      </c>
      <c r="C24" s="29" t="str">
        <f>нормы!B17</f>
        <v>шт</v>
      </c>
      <c r="D24" s="28">
        <f>HLOOKUP($F$5,нормы!$D$1:$L$36,ROW(нормы!D17),FALSE)</f>
        <v>0</v>
      </c>
      <c r="E24" s="29">
        <f>нормы!C17</f>
        <v>11.69</v>
      </c>
      <c r="F24" s="27">
        <f t="shared" si="0"/>
        <v>0</v>
      </c>
      <c r="G24" s="31"/>
    </row>
    <row r="25" spans="1:8" x14ac:dyDescent="0.2">
      <c r="A25" s="27" t="s">
        <v>74</v>
      </c>
      <c r="B25" s="8" t="str">
        <f>нормы!A18</f>
        <v xml:space="preserve"> Пряжка упаковочная</v>
      </c>
      <c r="C25" s="29" t="str">
        <f>нормы!B18</f>
        <v>шт</v>
      </c>
      <c r="D25" s="28">
        <f>HLOOKUP($F$5,нормы!$D$1:$L$36,ROW(нормы!D18),FALSE)</f>
        <v>2</v>
      </c>
      <c r="E25" s="29">
        <f>нормы!C18</f>
        <v>0.6</v>
      </c>
      <c r="F25" s="27">
        <f t="shared" si="0"/>
        <v>1.2</v>
      </c>
      <c r="G25" s="31"/>
    </row>
    <row r="26" spans="1:8" x14ac:dyDescent="0.2">
      <c r="A26" s="27" t="s">
        <v>75</v>
      </c>
      <c r="B26" s="8" t="str">
        <f>нормы!A19</f>
        <v xml:space="preserve"> Скотч</v>
      </c>
      <c r="C26" s="29" t="str">
        <f>нормы!B19</f>
        <v>м</v>
      </c>
      <c r="D26" s="28">
        <f>HLOOKUP($F$5,нормы!$D$1:$L$36,ROW(нормы!D19),FALSE)</f>
        <v>5</v>
      </c>
      <c r="E26" s="29">
        <f>нормы!C19</f>
        <v>0.3</v>
      </c>
      <c r="F26" s="27">
        <f t="shared" si="0"/>
        <v>1.5</v>
      </c>
      <c r="G26" s="31"/>
    </row>
    <row r="27" spans="1:8" x14ac:dyDescent="0.2">
      <c r="A27" s="27" t="s">
        <v>76</v>
      </c>
      <c r="B27" s="8" t="str">
        <f>нормы!A20</f>
        <v xml:space="preserve"> Шильд</v>
      </c>
      <c r="C27" s="29" t="str">
        <f>нормы!B20</f>
        <v>шт</v>
      </c>
      <c r="D27" s="28">
        <f>HLOOKUP($F$5,нормы!$D$1:$L$36,ROW(нормы!D20),FALSE)</f>
        <v>1</v>
      </c>
      <c r="E27" s="29">
        <f>нормы!C20</f>
        <v>20</v>
      </c>
      <c r="F27" s="27">
        <f t="shared" si="0"/>
        <v>20</v>
      </c>
      <c r="G27" s="31"/>
    </row>
    <row r="28" spans="1:8" hidden="1" x14ac:dyDescent="0.2">
      <c r="A28" s="27" t="s">
        <v>77</v>
      </c>
      <c r="B28" s="8" t="str">
        <f>нормы!A21</f>
        <v>Ярлык А</v>
      </c>
      <c r="C28" s="29" t="str">
        <f>нормы!B21</f>
        <v>шт</v>
      </c>
      <c r="D28" s="28">
        <f>HLOOKUP($F$5,нормы!$D$1:$L$36,ROW(нормы!D21),FALSE)</f>
        <v>0</v>
      </c>
      <c r="E28" s="29">
        <f>нормы!C21</f>
        <v>0.43</v>
      </c>
      <c r="F28" s="27">
        <f t="shared" si="0"/>
        <v>0</v>
      </c>
      <c r="G28" s="31"/>
    </row>
    <row r="29" spans="1:8" x14ac:dyDescent="0.2">
      <c r="A29" s="27" t="s">
        <v>78</v>
      </c>
      <c r="B29" s="8" t="str">
        <f>нормы!A22</f>
        <v>Ярлык B</v>
      </c>
      <c r="C29" s="29" t="str">
        <f>нормы!B22</f>
        <v>шт</v>
      </c>
      <c r="D29" s="28">
        <f>HLOOKUP($F$5,нормы!$D$1:$L$36,ROW(нормы!D22),FALSE)</f>
        <v>1</v>
      </c>
      <c r="E29" s="29">
        <f>нормы!C22</f>
        <v>0.42</v>
      </c>
      <c r="F29" s="27">
        <f t="shared" si="0"/>
        <v>0.42</v>
      </c>
      <c r="G29" s="31"/>
    </row>
    <row r="30" spans="1:8" hidden="1" x14ac:dyDescent="0.2">
      <c r="A30" s="27" t="s">
        <v>79</v>
      </c>
      <c r="B30" s="8" t="str">
        <f>нормы!A23</f>
        <v>Ярлык C</v>
      </c>
      <c r="C30" s="29" t="str">
        <f>нормы!B23</f>
        <v>шт</v>
      </c>
      <c r="D30" s="28">
        <f>HLOOKUP($F$5,нормы!$D$1:$L$36,ROW(нормы!D23),FALSE)</f>
        <v>0</v>
      </c>
      <c r="E30" s="29">
        <f>нормы!C23</f>
        <v>0.39</v>
      </c>
      <c r="F30" s="27">
        <f t="shared" si="0"/>
        <v>0</v>
      </c>
      <c r="G30" s="31"/>
    </row>
    <row r="31" spans="1:8" x14ac:dyDescent="0.2">
      <c r="A31" s="27" t="s">
        <v>80</v>
      </c>
      <c r="B31" s="8" t="str">
        <f>нормы!A24</f>
        <v>Транспортный ярлык №1</v>
      </c>
      <c r="C31" s="29" t="str">
        <f>нормы!B24</f>
        <v>шт</v>
      </c>
      <c r="D31" s="28">
        <f>HLOOKUP($F$5,нормы!$D$1:$L$36,ROW(нормы!D24),FALSE)</f>
        <v>1</v>
      </c>
      <c r="E31" s="29">
        <f>нормы!C24</f>
        <v>0.57999999999999996</v>
      </c>
      <c r="F31" s="27">
        <f t="shared" si="0"/>
        <v>0.57999999999999996</v>
      </c>
      <c r="G31" s="31"/>
    </row>
    <row r="32" spans="1:8" ht="15.6" customHeight="1" x14ac:dyDescent="0.2">
      <c r="A32" s="54" t="s">
        <v>81</v>
      </c>
      <c r="B32" s="55"/>
      <c r="C32" s="55"/>
      <c r="D32" s="55"/>
      <c r="E32" s="56"/>
      <c r="F32" s="25">
        <f>SUM(F33:F37)</f>
        <v>114.5</v>
      </c>
    </row>
    <row r="33" spans="1:6" x14ac:dyDescent="0.2">
      <c r="A33" s="27" t="s">
        <v>82</v>
      </c>
      <c r="B33" s="8" t="str">
        <f>нормы!A26</f>
        <v>Слесарная</v>
      </c>
      <c r="C33" s="29" t="str">
        <f>нормы!B26</f>
        <v>н/ч на ед</v>
      </c>
      <c r="D33" s="28">
        <f>HLOOKUP($F$5,нормы!$D$1:$L$36,ROW(нормы!D26),FALSE)</f>
        <v>0.18</v>
      </c>
      <c r="E33" s="29">
        <f>нормы!C26</f>
        <v>100</v>
      </c>
      <c r="F33" s="27">
        <f>D33*E33</f>
        <v>18</v>
      </c>
    </row>
    <row r="34" spans="1:6" x14ac:dyDescent="0.2">
      <c r="A34" s="27" t="s">
        <v>83</v>
      </c>
      <c r="B34" s="8" t="str">
        <f>нормы!A27</f>
        <v>Слесарная-сборка</v>
      </c>
      <c r="C34" s="29" t="str">
        <f>нормы!B27</f>
        <v>н/ч на ед</v>
      </c>
      <c r="D34" s="28">
        <f>HLOOKUP($F$5,нормы!$D$1:$L$36,ROW(нормы!D27),FALSE)</f>
        <v>0.3</v>
      </c>
      <c r="E34" s="29">
        <f>нормы!C27</f>
        <v>90</v>
      </c>
      <c r="F34" s="27">
        <f>D34*E34</f>
        <v>27</v>
      </c>
    </row>
    <row r="35" spans="1:6" x14ac:dyDescent="0.2">
      <c r="A35" s="27" t="s">
        <v>84</v>
      </c>
      <c r="B35" s="8" t="str">
        <f>нормы!A28</f>
        <v>Покраска</v>
      </c>
      <c r="C35" s="29" t="str">
        <f>нормы!B28</f>
        <v>н/ч на ед</v>
      </c>
      <c r="D35" s="28">
        <f>HLOOKUP($F$5,нормы!$D$1:$L$36,ROW(нормы!D28),FALSE)</f>
        <v>0.5</v>
      </c>
      <c r="E35" s="29">
        <f>нормы!C28</f>
        <v>100</v>
      </c>
      <c r="F35" s="27">
        <f>D35*E35</f>
        <v>50</v>
      </c>
    </row>
    <row r="36" spans="1:6" x14ac:dyDescent="0.2">
      <c r="A36" s="27" t="s">
        <v>85</v>
      </c>
      <c r="B36" s="8" t="str">
        <f>нормы!A29</f>
        <v>Упаковка</v>
      </c>
      <c r="C36" s="29" t="str">
        <f>нормы!B29</f>
        <v>н/ч на ед</v>
      </c>
      <c r="D36" s="28">
        <f>HLOOKUP($F$5,нормы!$D$1:$L$36,ROW(нормы!D29),FALSE)</f>
        <v>0.15</v>
      </c>
      <c r="E36" s="29">
        <f>нормы!C29</f>
        <v>80</v>
      </c>
      <c r="F36" s="27">
        <f>D36*E36</f>
        <v>12</v>
      </c>
    </row>
    <row r="37" spans="1:6" x14ac:dyDescent="0.2">
      <c r="A37" s="27" t="s">
        <v>86</v>
      </c>
      <c r="B37" s="8" t="str">
        <f>нормы!A30</f>
        <v>Перемещение</v>
      </c>
      <c r="C37" s="29" t="str">
        <f>нормы!B30</f>
        <v>н/ч на ед</v>
      </c>
      <c r="D37" s="28">
        <f>HLOOKUP($F$5,нормы!$D$1:$L$36,ROW(нормы!D30),FALSE)</f>
        <v>0.1</v>
      </c>
      <c r="E37" s="29">
        <f>нормы!C30</f>
        <v>75</v>
      </c>
      <c r="F37" s="27">
        <f>D37*E37</f>
        <v>7.5</v>
      </c>
    </row>
    <row r="38" spans="1:6" ht="15.6" customHeight="1" x14ac:dyDescent="0.2">
      <c r="A38" s="54" t="s">
        <v>87</v>
      </c>
      <c r="B38" s="55"/>
      <c r="C38" s="55"/>
      <c r="D38" s="55"/>
      <c r="E38" s="56"/>
      <c r="F38" s="25">
        <f>F32*0.26</f>
        <v>29.77</v>
      </c>
    </row>
    <row r="39" spans="1:6" ht="4.5" customHeight="1" x14ac:dyDescent="0.2">
      <c r="F39" s="33">
        <v>1</v>
      </c>
    </row>
    <row r="40" spans="1:6" ht="15.6" customHeight="1" x14ac:dyDescent="0.2">
      <c r="A40" s="54" t="s">
        <v>88</v>
      </c>
      <c r="B40" s="55"/>
      <c r="C40" s="55"/>
      <c r="D40" s="55"/>
      <c r="E40" s="56"/>
      <c r="F40" s="25">
        <f>F10+F15+F32+F38</f>
        <v>417.654</v>
      </c>
    </row>
    <row r="41" spans="1:6" ht="7.5" customHeight="1" x14ac:dyDescent="0.2">
      <c r="B41" s="16"/>
      <c r="C41" s="34"/>
      <c r="D41" s="32"/>
      <c r="E41" s="35"/>
      <c r="F41" s="33">
        <v>1</v>
      </c>
    </row>
    <row r="42" spans="1:6" ht="15.6" customHeight="1" x14ac:dyDescent="0.2">
      <c r="A42" s="54" t="s">
        <v>89</v>
      </c>
      <c r="B42" s="55"/>
      <c r="C42" s="55"/>
      <c r="D42" s="59"/>
      <c r="E42" s="36">
        <v>0.03</v>
      </c>
      <c r="F42" s="37">
        <f>F40*E42</f>
        <v>12.52962</v>
      </c>
    </row>
    <row r="43" spans="1:6" ht="6.75" customHeight="1" x14ac:dyDescent="0.2">
      <c r="B43" s="16"/>
      <c r="C43" s="34"/>
      <c r="D43" s="32"/>
      <c r="E43" s="35"/>
      <c r="F43" s="33">
        <v>1</v>
      </c>
    </row>
    <row r="44" spans="1:6" ht="15.6" customHeight="1" x14ac:dyDescent="0.2">
      <c r="A44" s="46" t="s">
        <v>90</v>
      </c>
      <c r="B44" s="47"/>
      <c r="C44" s="47"/>
      <c r="D44" s="47"/>
      <c r="E44" s="48"/>
      <c r="F44" s="37">
        <f>F40+F42</f>
        <v>430.18362000000002</v>
      </c>
    </row>
    <row r="45" spans="1:6" x14ac:dyDescent="0.2">
      <c r="B45" s="16"/>
      <c r="C45" s="34"/>
      <c r="D45" s="32"/>
      <c r="E45" s="35"/>
      <c r="F45" s="33">
        <v>1</v>
      </c>
    </row>
    <row r="46" spans="1:6" x14ac:dyDescent="0.2">
      <c r="A46" s="38" t="s">
        <v>91</v>
      </c>
      <c r="D46" s="39" t="str">
        <f>IF(E42=0,"Маржа","Прибыль")</f>
        <v>Прибыль</v>
      </c>
      <c r="E46" s="39" t="str">
        <f>IF(E42=0,"% Маржы","Рентабельность")</f>
        <v>Рентабельность</v>
      </c>
      <c r="F46" s="33">
        <v>1</v>
      </c>
    </row>
    <row r="47" spans="1:6" ht="15.75" customHeight="1" x14ac:dyDescent="0.2">
      <c r="A47" s="57" t="s">
        <v>109</v>
      </c>
      <c r="B47" s="57"/>
      <c r="C47" s="57"/>
      <c r="D47" s="40">
        <f>F47-$F$44</f>
        <v>219.81637999999998</v>
      </c>
      <c r="E47" s="41">
        <f>F47/($F$44)-1</f>
        <v>0.5109826822322987</v>
      </c>
      <c r="F47" s="25">
        <f>HLOOKUP($F$5,нормы!$D$1:$L$36,ROW(нормы!D34),FALSE)</f>
        <v>650</v>
      </c>
    </row>
    <row r="48" spans="1:6" ht="15.75" customHeight="1" x14ac:dyDescent="0.2">
      <c r="A48" s="49" t="s">
        <v>110</v>
      </c>
      <c r="B48" s="49"/>
      <c r="C48" s="49"/>
      <c r="D48" s="40">
        <f>F48-$F$44</f>
        <v>149.81637999999998</v>
      </c>
      <c r="E48" s="41">
        <f>F48/($F$44)-1</f>
        <v>0.34826147029958965</v>
      </c>
      <c r="F48" s="25">
        <f>HLOOKUP($F$5,нормы!$D$1:$L$36,ROW(нормы!D35),FALSE)</f>
        <v>580</v>
      </c>
    </row>
    <row r="49" spans="1:6" ht="16.5" customHeight="1" x14ac:dyDescent="0.2">
      <c r="A49" s="49" t="s">
        <v>108</v>
      </c>
      <c r="B49" s="49"/>
      <c r="C49" s="49"/>
      <c r="D49" s="40">
        <f>F49-$F$44</f>
        <v>49.816379999999981</v>
      </c>
      <c r="E49" s="41">
        <f>F49/($F$44)-1</f>
        <v>0.11580259611000532</v>
      </c>
      <c r="F49" s="25">
        <f>HLOOKUP($F$5,нормы!$D$1:$L$36,ROW(нормы!D36),FALSE)</f>
        <v>480</v>
      </c>
    </row>
    <row r="50" spans="1:6" x14ac:dyDescent="0.2">
      <c r="F50" s="33">
        <v>1</v>
      </c>
    </row>
    <row r="51" spans="1:6" x14ac:dyDescent="0.2">
      <c r="A51" s="58" t="s">
        <v>92</v>
      </c>
      <c r="B51" s="58"/>
      <c r="F51" s="33">
        <v>1</v>
      </c>
    </row>
    <row r="52" spans="1:6" x14ac:dyDescent="0.2">
      <c r="A52" s="51" t="s">
        <v>93</v>
      </c>
      <c r="B52" s="51"/>
      <c r="D52" s="42"/>
      <c r="E52" s="42"/>
      <c r="F52" s="33">
        <v>1</v>
      </c>
    </row>
    <row r="53" spans="1:6" x14ac:dyDescent="0.2">
      <c r="F53" s="33">
        <v>1</v>
      </c>
    </row>
    <row r="54" spans="1:6" x14ac:dyDescent="0.2">
      <c r="A54" s="51" t="s">
        <v>94</v>
      </c>
      <c r="B54" s="51"/>
      <c r="D54" s="42"/>
      <c r="E54" s="42"/>
      <c r="F54" s="33">
        <v>1</v>
      </c>
    </row>
    <row r="55" spans="1:6" x14ac:dyDescent="0.2">
      <c r="D55" s="43"/>
      <c r="E55" s="43"/>
      <c r="F55" s="33">
        <v>1</v>
      </c>
    </row>
    <row r="56" spans="1:6" x14ac:dyDescent="0.2">
      <c r="A56" s="51" t="s">
        <v>95</v>
      </c>
      <c r="B56" s="51"/>
      <c r="D56" s="42"/>
      <c r="E56" s="42"/>
      <c r="F56" s="33">
        <v>1</v>
      </c>
    </row>
    <row r="57" spans="1:6" x14ac:dyDescent="0.2">
      <c r="F57" s="33"/>
    </row>
    <row r="68" spans="6:6" x14ac:dyDescent="0.2">
      <c r="F68" s="33"/>
    </row>
  </sheetData>
  <sheetProtection selectLockedCells="1" selectUnlockedCells="1"/>
  <autoFilter ref="F9:F56">
    <filterColumn colId="0">
      <customFilters and="1">
        <customFilter operator="greaterThan" val="0"/>
      </customFilters>
    </filterColumn>
  </autoFilter>
  <mergeCells count="17">
    <mergeCell ref="A1:B3"/>
    <mergeCell ref="D7:E7"/>
    <mergeCell ref="A10:E10"/>
    <mergeCell ref="A15:E15"/>
    <mergeCell ref="A44:E44"/>
    <mergeCell ref="A49:C49"/>
    <mergeCell ref="A5:D5"/>
    <mergeCell ref="A56:B56"/>
    <mergeCell ref="A52:B52"/>
    <mergeCell ref="A54:B54"/>
    <mergeCell ref="A32:E32"/>
    <mergeCell ref="A38:E38"/>
    <mergeCell ref="A40:E40"/>
    <mergeCell ref="A47:C47"/>
    <mergeCell ref="A48:C48"/>
    <mergeCell ref="A51:B51"/>
    <mergeCell ref="A42:D42"/>
  </mergeCells>
  <phoneticPr fontId="1" type="noConversion"/>
  <pageMargins left="0.78749999999999998" right="0.19652777777777777" top="0.19652777777777777" bottom="0.19652777777777777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нормы</vt:lpstr>
      <vt:lpstr>Калькуляция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kazantsev</dc:creator>
  <cp:lastModifiedBy>Дмитрий Мартынов</cp:lastModifiedBy>
  <dcterms:created xsi:type="dcterms:W3CDTF">2010-02-19T03:12:10Z</dcterms:created>
  <dcterms:modified xsi:type="dcterms:W3CDTF">2017-07-02T22:17:20Z</dcterms:modified>
</cp:coreProperties>
</file>